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ReportsA&amp;R\Office of State Budget Director\EKSAFE Fund &amp; WKSAFE Fund Reports\FY 2024\"/>
    </mc:Choice>
  </mc:AlternateContent>
  <xr:revisionPtr revIDLastSave="0" documentId="8_{8A985C74-E185-41E3-9924-07370C8857DD}" xr6:coauthVersionLast="47" xr6:coauthVersionMax="47" xr10:uidLastSave="{00000000-0000-0000-0000-000000000000}"/>
  <bookViews>
    <workbookView xWindow="-120" yWindow="-120" windowWidth="29040" windowHeight="15720" activeTab="1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9" i="2" l="1"/>
  <c r="K24" i="1"/>
  <c r="B24" i="1"/>
  <c r="B70" i="2" l="1"/>
  <c r="H70" i="2"/>
  <c r="B36" i="2"/>
  <c r="H36" i="2"/>
  <c r="B21" i="1" l="1"/>
  <c r="B16" i="1"/>
  <c r="K16" i="1"/>
  <c r="K23" i="1"/>
  <c r="B23" i="1"/>
  <c r="B45" i="2" l="1"/>
  <c r="B3" i="1" l="1"/>
  <c r="E42" i="1" l="1"/>
  <c r="B42" i="1"/>
  <c r="B32" i="1"/>
  <c r="F48" i="2" l="1"/>
  <c r="D32" i="1"/>
  <c r="E21" i="1"/>
  <c r="B35" i="2"/>
  <c r="B28" i="2"/>
  <c r="B29" i="2"/>
  <c r="B37" i="2"/>
  <c r="B31" i="1" l="1"/>
  <c r="D38" i="2"/>
  <c r="B38" i="2"/>
  <c r="D43" i="2"/>
  <c r="B43" i="2"/>
  <c r="D24" i="2"/>
  <c r="B24" i="2"/>
  <c r="H23" i="2"/>
  <c r="B23" i="2"/>
  <c r="B19" i="2" l="1"/>
  <c r="D56" i="2"/>
  <c r="B56" i="2"/>
  <c r="D27" i="2"/>
  <c r="B27" i="2"/>
  <c r="D18" i="2"/>
  <c r="B18" i="2"/>
  <c r="B16" i="2"/>
  <c r="E36" i="2" l="1"/>
  <c r="H45" i="2" l="1"/>
  <c r="B41" i="1"/>
  <c r="F41" i="1"/>
  <c r="E41" i="1"/>
  <c r="B28" i="1" l="1"/>
  <c r="D21" i="2"/>
  <c r="G22" i="2"/>
  <c r="G48" i="2" s="1"/>
  <c r="B22" i="2"/>
  <c r="H46" i="2"/>
  <c r="H48" i="2" s="1"/>
  <c r="B46" i="2"/>
  <c r="D33" i="2"/>
  <c r="B33" i="2"/>
  <c r="B21" i="2" l="1"/>
  <c r="B20" i="2"/>
  <c r="J43" i="1" l="1"/>
  <c r="I43" i="1"/>
  <c r="H43" i="1"/>
  <c r="G43" i="1"/>
  <c r="B12" i="1" l="1"/>
  <c r="D26" i="2"/>
  <c r="B26" i="2"/>
  <c r="B4" i="2" l="1"/>
  <c r="B10" i="2" s="1"/>
  <c r="D60" i="2"/>
  <c r="B60" i="2"/>
  <c r="B61" i="2" s="1"/>
  <c r="B34" i="2"/>
  <c r="B15" i="2"/>
  <c r="B72" i="2"/>
  <c r="B73" i="2" s="1"/>
  <c r="E17" i="2" l="1"/>
  <c r="B40" i="2"/>
  <c r="B17" i="2"/>
  <c r="E33" i="2"/>
  <c r="B10" i="1" l="1"/>
  <c r="L10" i="1" s="1"/>
  <c r="L14" i="1"/>
  <c r="L42" i="1"/>
  <c r="L41" i="1"/>
  <c r="L40" i="1"/>
  <c r="L38" i="1"/>
  <c r="L37" i="1"/>
  <c r="L36" i="1"/>
  <c r="L35" i="1"/>
  <c r="L32" i="1"/>
  <c r="L30" i="1"/>
  <c r="L28" i="1"/>
  <c r="L27" i="1"/>
  <c r="L25" i="1"/>
  <c r="L24" i="1"/>
  <c r="L21" i="1"/>
  <c r="L20" i="1"/>
  <c r="L17" i="1"/>
  <c r="L15" i="1"/>
  <c r="L9" i="1"/>
  <c r="L8" i="1"/>
  <c r="E39" i="1"/>
  <c r="F34" i="1"/>
  <c r="K34" i="1"/>
  <c r="E34" i="1"/>
  <c r="F31" i="1"/>
  <c r="E31" i="1"/>
  <c r="E29" i="1"/>
  <c r="D29" i="1"/>
  <c r="F29" i="1"/>
  <c r="K26" i="1"/>
  <c r="F26" i="1"/>
  <c r="D26" i="1"/>
  <c r="E26" i="1"/>
  <c r="D23" i="1"/>
  <c r="E23" i="1"/>
  <c r="D19" i="1"/>
  <c r="E19" i="1"/>
  <c r="F19" i="1"/>
  <c r="E16" i="1"/>
  <c r="D43" i="1" l="1"/>
  <c r="E43" i="1"/>
  <c r="K43" i="1"/>
  <c r="F43" i="1"/>
  <c r="L31" i="1"/>
  <c r="L34" i="1"/>
  <c r="L26" i="1"/>
  <c r="L23" i="1"/>
  <c r="B66" i="2"/>
  <c r="E24" i="2"/>
  <c r="E48" i="2" s="1"/>
  <c r="D36" i="2"/>
  <c r="D48" i="2" s="1"/>
  <c r="B29" i="1" l="1"/>
  <c r="L29" i="1" s="1"/>
  <c r="B47" i="2"/>
  <c r="B48" i="2" l="1"/>
  <c r="B39" i="1" l="1"/>
  <c r="L39" i="1" s="1"/>
  <c r="L16" i="1" l="1"/>
  <c r="B19" i="1" l="1"/>
  <c r="L19" i="1" l="1"/>
  <c r="B43" i="1"/>
  <c r="B49" i="2"/>
  <c r="L43" i="1" l="1"/>
  <c r="B44" i="1"/>
  <c r="L44" i="1" l="1"/>
</calcChain>
</file>

<file path=xl/sharedStrings.xml><?xml version="1.0" encoding="utf-8"?>
<sst xmlns="http://schemas.openxmlformats.org/spreadsheetml/2006/main" count="262" uniqueCount="201">
  <si>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</si>
  <si>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</si>
  <si>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</si>
  <si>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</si>
  <si>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</si>
  <si>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</si>
  <si>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</si>
  <si>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</si>
  <si>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</si>
  <si>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</si>
  <si>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</si>
  <si>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</si>
  <si>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</si>
  <si>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</si>
  <si>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</si>
  <si>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</si>
  <si>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</si>
  <si>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</si>
  <si>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</si>
  <si>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</si>
  <si>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</si>
  <si>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</si>
  <si>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</si>
  <si>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</si>
  <si>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</si>
  <si>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</si>
  <si>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</si>
  <si>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</si>
  <si>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</si>
  <si>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</si>
  <si>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</si>
  <si>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</si>
  <si>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</si>
  <si>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</si>
  <si>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</si>
  <si>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</si>
  <si>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</si>
  <si>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</si>
  <si>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</si>
  <si>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</si>
  <si>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</si>
  <si>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</si>
  <si>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</si>
  <si>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</si>
  <si>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</si>
  <si>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</si>
  <si>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</si>
  <si>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</si>
  <si>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</si>
  <si>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</si>
  <si>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</si>
  <si>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</si>
  <si>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</si>
  <si>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</si>
  <si>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</si>
  <si>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</si>
  <si>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</si>
  <si>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</si>
  <si>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</si>
  <si>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</si>
  <si>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</si>
  <si>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</si>
  <si>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</si>
  <si>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</si>
  <si>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</si>
  <si>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</si>
  <si>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</si>
  <si>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</si>
  <si>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</si>
  <si>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</si>
  <si>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</si>
  <si>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</si>
  <si>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</si>
  <si>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</si>
  <si>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</si>
  <si>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</si>
  <si>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</si>
  <si>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</si>
  <si>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</si>
  <si>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</si>
  <si>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</si>
  <si>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</si>
  <si>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</si>
  <si>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</si>
  <si>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</si>
  <si>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</si>
  <si>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</si>
  <si>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</si>
  <si>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</si>
  <si>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</si>
  <si>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</si>
  <si>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</si>
  <si>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</si>
  <si>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</si>
  <si>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</si>
  <si>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</si>
  <si>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</si>
  <si>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</si>
  <si>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</si>
  <si>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</si>
  <si>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</si>
  <si>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</si>
  <si>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</si>
  <si>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</si>
  <si>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</si>
  <si>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</si>
  <si>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</si>
  <si>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</si>
  <si>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</si>
  <si>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</si>
  <si>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</si>
  <si>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</si>
  <si>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</si>
  <si>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</si>
  <si>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</si>
  <si>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</si>
  <si>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</si>
  <si>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</si>
  <si>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</si>
  <si>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</si>
  <si>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</si>
  <si>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</si>
  <si>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</si>
  <si>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</si>
  <si>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</si>
  <si>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</si>
  <si>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</si>
  <si>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</si>
  <si>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</si>
  <si>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</si>
  <si>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</si>
  <si>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</si>
  <si>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</si>
  <si>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</si>
  <si>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</si>
  <si>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</si>
  <si>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</si>
  <si>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</si>
  <si>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</si>
  <si>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</si>
  <si>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</si>
  <si>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</si>
  <si>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</si>
  <si>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</si>
  <si>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</si>
  <si>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</si>
  <si>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</si>
  <si>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</si>
  <si>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</si>
  <si>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</si>
  <si>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</si>
  <si>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</si>
  <si>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</si>
  <si>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</si>
  <si>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</si>
  <si>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</si>
  <si>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</si>
  <si>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</si>
  <si>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</si>
  <si>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</si>
  <si>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</si>
  <si>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Strained fiscal liquidity, floodplain coordinator, local share of damage costs claimed with FEMA, matching funds for ARC water/sewer project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</si>
  <si>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</si>
  <si>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</si>
  <si>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</si>
  <si>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</si>
  <si>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</si>
  <si>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</si>
  <si>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</si>
  <si>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</si>
  <si>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</si>
  <si>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Actions through July 31, 2023</t>
  </si>
  <si>
    <t>Obligations Actual/Estimated To-date</t>
  </si>
  <si>
    <t>255 state road and bridge projects</t>
  </si>
  <si>
    <t>Beattyville, City of - sought funding for a secondary access for Silver Creek residents and sewer plant replacement parts. Funding not available.</t>
  </si>
  <si>
    <t>Breathitt County - sought funding for heavy equipment. Funding not available.</t>
  </si>
  <si>
    <t>Breathitt County Water District - sought funding for heavy equipment. Funding not available.</t>
  </si>
  <si>
    <t>Jackson, City of - sought funding for mitigation projects and water loss. Funding not available.</t>
  </si>
  <si>
    <t>Knott County Water &amp; Sewer District - sought funding for waterline repairs, wastewater treatment plant.  Funding not available.</t>
  </si>
  <si>
    <t>Lee County - sought funding for heavy equipment. Funding not available.</t>
  </si>
  <si>
    <t>Leslie County - sought funding for road and bridge repairs. Funding not available.</t>
  </si>
  <si>
    <t>Letcher County - sought funding for loan interest, solid waste costs, heavy equipment, additional fundings for floodplain coordinator, matching funds for FEMA acquisition program. Funding not available.</t>
  </si>
  <si>
    <t>Owsley County - sought funding for heavy equipment. Funding not available.</t>
  </si>
  <si>
    <t>Paintsville, City of - sought funding for road damage. Funding not available.</t>
  </si>
  <si>
    <t>Perry County - sought funding for purchase of appliances, sewer project. Funding not available.</t>
  </si>
  <si>
    <t>Whitesburg, City of - sought funding for water meters. Funding not available.</t>
  </si>
  <si>
    <t>Booneville, City of - sought funding for a generator which was not damaged by the flooding, UV light treatment system for treatment plan. Funding not available.</t>
  </si>
  <si>
    <t>Floyd County - sought funding for uphill slide sites, creek silt/debris removal. Funding not available.</t>
  </si>
  <si>
    <t>Hazard, City of - sought funding for water treatment and sewage treatment projects, heavy equipment. Funding not available.</t>
  </si>
  <si>
    <t>Johnson County - sought funding for road repairs. Funding not available.</t>
  </si>
  <si>
    <t>Knott County - sought funding for debris removal. Funding not available.</t>
  </si>
  <si>
    <t>Letcher County Water &amp; Sewer District - sought funding for meter replacements. Funding not available.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</si>
  <si>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</si>
  <si>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</si>
  <si>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</si>
  <si>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 xml:space="preserve">  House Bill 1 - Section 6</t>
  </si>
  <si>
    <t>Dept of Education-financial assistance for school districts</t>
  </si>
  <si>
    <t>Excludes $25 million for Economic Development's, $30 million for Dept of Education, and $10 million for Rural Housing Trust Fund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</si>
  <si>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</si>
  <si>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</si>
  <si>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Actions through September,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</si>
</sst>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3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4.425781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36</v>
      </c>
    </row>
    <row r="2" spans="1:12" ht="15" x14ac:dyDescent="0.25">
      <c r="A2" s="21" t="s">
        <v>200</v>
      </c>
    </row>
    <row r="3" spans="1:12" ht="42.75" x14ac:dyDescent="0.2">
      <c r="A3" s="35" t="s">
        <v>63</v>
      </c>
      <c r="B3" s="58">
        <f>15000000+120890000+9000000+110000-10000000</f>
        <v>135000000</v>
      </c>
      <c r="C3" s="7" t="s">
        <v>197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1"/>
      <c r="D4" s="5" t="s">
        <v>92</v>
      </c>
      <c r="E4" s="5" t="s">
        <v>83</v>
      </c>
      <c r="F4" s="5" t="s">
        <v>114</v>
      </c>
      <c r="G4" s="5" t="s">
        <v>114</v>
      </c>
      <c r="K4" s="5"/>
    </row>
    <row r="5" spans="1:12" ht="15" x14ac:dyDescent="0.25">
      <c r="A5" s="3"/>
      <c r="B5" s="5" t="s">
        <v>1</v>
      </c>
      <c r="C5" s="38" t="s">
        <v>2</v>
      </c>
      <c r="D5" s="5" t="s">
        <v>93</v>
      </c>
      <c r="E5" s="5" t="s">
        <v>84</v>
      </c>
      <c r="F5" s="5" t="s">
        <v>110</v>
      </c>
      <c r="G5" s="5" t="s">
        <v>110</v>
      </c>
      <c r="H5" s="5" t="s">
        <v>112</v>
      </c>
      <c r="I5" s="5" t="s">
        <v>115</v>
      </c>
      <c r="J5" s="5" t="s">
        <v>153</v>
      </c>
      <c r="K5" s="5"/>
    </row>
    <row r="6" spans="1:12" ht="15" x14ac:dyDescent="0.25">
      <c r="A6" s="3" t="s">
        <v>0</v>
      </c>
      <c r="B6" s="5" t="s">
        <v>56</v>
      </c>
      <c r="C6" s="38" t="s">
        <v>3</v>
      </c>
      <c r="D6" s="5" t="s">
        <v>94</v>
      </c>
      <c r="E6" s="5" t="s">
        <v>85</v>
      </c>
      <c r="F6" s="5" t="s">
        <v>111</v>
      </c>
      <c r="G6" s="5" t="s">
        <v>116</v>
      </c>
      <c r="H6" s="5" t="s">
        <v>113</v>
      </c>
      <c r="I6" s="5" t="s">
        <v>89</v>
      </c>
      <c r="J6" s="5" t="s">
        <v>154</v>
      </c>
      <c r="K6" s="5" t="s">
        <v>90</v>
      </c>
      <c r="L6" s="5" t="s">
        <v>91</v>
      </c>
    </row>
    <row r="7" spans="1:12" ht="16.5" x14ac:dyDescent="0.2">
      <c r="A7" s="33" t="s">
        <v>119</v>
      </c>
    </row>
    <row r="8" spans="1:12" x14ac:dyDescent="0.2">
      <c r="A8" s="1" t="s">
        <v>117</v>
      </c>
      <c r="B8" s="4">
        <v>9000000</v>
      </c>
      <c r="C8" s="8" t="s">
        <v>34</v>
      </c>
      <c r="K8" s="4">
        <v>9000000</v>
      </c>
      <c r="L8" s="4">
        <f t="shared" ref="L8:L42" si="0">B8-D8-E8-F8-G8-H8-I8-J8-K8</f>
        <v>0</v>
      </c>
    </row>
    <row r="9" spans="1:12" ht="28.5" x14ac:dyDescent="0.2">
      <c r="A9" s="1" t="s">
        <v>30</v>
      </c>
      <c r="B9" s="14">
        <v>110000</v>
      </c>
      <c r="C9" s="8" t="s">
        <v>120</v>
      </c>
      <c r="K9" s="4">
        <v>110000</v>
      </c>
      <c r="L9" s="4">
        <f t="shared" si="0"/>
        <v>0</v>
      </c>
    </row>
    <row r="10" spans="1:12" ht="15" x14ac:dyDescent="0.25">
      <c r="A10" s="2" t="s">
        <v>118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3" t="s">
        <v>100</v>
      </c>
      <c r="B12" s="36">
        <f>15000000+120890000-10000000</f>
        <v>125890000</v>
      </c>
      <c r="C12" s="7" t="s">
        <v>164</v>
      </c>
      <c r="L12" s="4"/>
    </row>
    <row r="13" spans="1:12" ht="15" x14ac:dyDescent="0.25">
      <c r="A13" s="24" t="s">
        <v>142</v>
      </c>
      <c r="B13" s="36"/>
      <c r="L13" s="4"/>
    </row>
    <row r="14" spans="1:12" ht="28.5" x14ac:dyDescent="0.2">
      <c r="A14" s="9" t="s">
        <v>43</v>
      </c>
      <c r="B14" s="12">
        <v>10570188</v>
      </c>
      <c r="C14" s="8" t="s">
        <v>35</v>
      </c>
      <c r="D14" s="12"/>
      <c r="E14" s="12"/>
      <c r="F14" s="12"/>
      <c r="G14" s="12"/>
      <c r="H14" s="12">
        <v>10562789</v>
      </c>
      <c r="I14" s="12"/>
      <c r="J14" s="12"/>
      <c r="K14" s="12"/>
      <c r="L14" s="4">
        <f>B14-D14-E14-F14-G14-H14-I14-J14-K14</f>
        <v>7399</v>
      </c>
    </row>
    <row r="15" spans="1:12" x14ac:dyDescent="0.2">
      <c r="A15" s="9" t="s">
        <v>52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57" x14ac:dyDescent="0.2">
      <c r="A16" s="9" t="s">
        <v>53</v>
      </c>
      <c r="B16" s="12">
        <f>85508+970183+550000+1500000</f>
        <v>3105691</v>
      </c>
      <c r="C16" s="10" t="s">
        <v>199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135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54</v>
      </c>
      <c r="B21" s="12">
        <f>1321047+15133+886000</f>
        <v>2222180</v>
      </c>
      <c r="C21" s="10" t="s">
        <v>24</v>
      </c>
      <c r="D21" s="12">
        <v>886000</v>
      </c>
      <c r="E21" s="12">
        <f>121047+15133</f>
        <v>136180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151</v>
      </c>
      <c r="B22" s="12">
        <v>80500</v>
      </c>
      <c r="C22" s="10" t="s">
        <v>152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7" x14ac:dyDescent="0.2">
      <c r="A23" s="9" t="s">
        <v>10</v>
      </c>
      <c r="B23" s="12">
        <f>336873+19882</f>
        <v>356755</v>
      </c>
      <c r="C23" s="10" t="s">
        <v>198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</f>
        <v>94882</v>
      </c>
      <c r="L23" s="4">
        <f t="shared" si="0"/>
        <v>0</v>
      </c>
    </row>
    <row r="24" spans="1:12" ht="28.5" x14ac:dyDescent="0.2">
      <c r="A24" s="9" t="s">
        <v>7</v>
      </c>
      <c r="B24" s="11">
        <f>3384285+2501700+158292</f>
        <v>6044277</v>
      </c>
      <c r="C24" s="10" t="s">
        <v>155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</f>
        <v>2659992</v>
      </c>
      <c r="L24" s="4">
        <f t="shared" si="0"/>
        <v>0</v>
      </c>
    </row>
    <row r="25" spans="1:12" x14ac:dyDescent="0.2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57" x14ac:dyDescent="0.2">
      <c r="A26" s="9" t="s">
        <v>4</v>
      </c>
      <c r="B26" s="12">
        <v>9251941</v>
      </c>
      <c r="C26" s="10" t="s">
        <v>25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2">
      <c r="A27" s="1" t="s">
        <v>13</v>
      </c>
      <c r="B27" s="11">
        <v>12212</v>
      </c>
      <c r="C27" s="7" t="s">
        <v>21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.75" x14ac:dyDescent="0.2">
      <c r="A28" s="9" t="s">
        <v>11</v>
      </c>
      <c r="B28" s="12">
        <f>158517.8+341654</f>
        <v>500171.8</v>
      </c>
      <c r="C28" s="10" t="s">
        <v>156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.75" x14ac:dyDescent="0.2">
      <c r="A29" s="9" t="s">
        <v>6</v>
      </c>
      <c r="B29" s="12">
        <f>655389+50000+155389+50000+85037+375322</f>
        <v>1371137</v>
      </c>
      <c r="C29" s="10" t="s">
        <v>79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2">
      <c r="A30" s="15" t="s">
        <v>31</v>
      </c>
      <c r="B30" s="12">
        <v>35000</v>
      </c>
      <c r="C30" s="10" t="s">
        <v>32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.5" x14ac:dyDescent="0.2">
      <c r="A31" s="9" t="s">
        <v>51</v>
      </c>
      <c r="B31" s="12">
        <f>2880361+1200000+228119</f>
        <v>4308480</v>
      </c>
      <c r="C31" s="10" t="s">
        <v>23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>
        <v>228119</v>
      </c>
      <c r="K31" s="12"/>
      <c r="L31" s="4">
        <f t="shared" si="0"/>
        <v>0</v>
      </c>
    </row>
    <row r="32" spans="1:12" ht="28.5" x14ac:dyDescent="0.2">
      <c r="A32" s="10" t="s">
        <v>14</v>
      </c>
      <c r="B32" s="12">
        <f>17091180+314018+49987</f>
        <v>17455185</v>
      </c>
      <c r="C32" s="10" t="s">
        <v>22</v>
      </c>
      <c r="D32" s="12">
        <f>15000000+314018</f>
        <v>15314018</v>
      </c>
      <c r="E32" s="12">
        <v>2091180</v>
      </c>
      <c r="F32" s="12">
        <v>49987</v>
      </c>
      <c r="G32" s="12"/>
      <c r="H32" s="12"/>
      <c r="I32" s="12"/>
      <c r="J32" s="12"/>
      <c r="K32" s="12"/>
      <c r="L32" s="4">
        <f t="shared" si="0"/>
        <v>0</v>
      </c>
    </row>
    <row r="33" spans="1:12" x14ac:dyDescent="0.2">
      <c r="A33" s="1" t="s">
        <v>157</v>
      </c>
      <c r="B33" s="12">
        <v>373683</v>
      </c>
      <c r="C33" s="10" t="s">
        <v>152</v>
      </c>
      <c r="D33" s="12"/>
      <c r="E33" s="12"/>
      <c r="F33" s="12"/>
      <c r="G33" s="12"/>
      <c r="H33" s="12"/>
      <c r="I33" s="12"/>
      <c r="J33" s="12">
        <v>373683</v>
      </c>
      <c r="K33" s="12"/>
      <c r="L33" s="4"/>
    </row>
    <row r="34" spans="1:12" ht="42.75" x14ac:dyDescent="0.2">
      <c r="A34" s="10" t="s">
        <v>15</v>
      </c>
      <c r="B34" s="12">
        <v>1171147</v>
      </c>
      <c r="C34" s="10" t="s">
        <v>49</v>
      </c>
      <c r="D34" s="12">
        <v>61208</v>
      </c>
      <c r="E34" s="12">
        <f>145192</f>
        <v>145192</v>
      </c>
      <c r="F34" s="12">
        <f>114747+450000</f>
        <v>564747</v>
      </c>
      <c r="G34" s="12"/>
      <c r="H34" s="12"/>
      <c r="I34" s="12"/>
      <c r="J34" s="12"/>
      <c r="K34" s="12">
        <f>300000+100000</f>
        <v>400000</v>
      </c>
      <c r="L34" s="4">
        <f t="shared" si="0"/>
        <v>0</v>
      </c>
    </row>
    <row r="35" spans="1:12" ht="28.5" x14ac:dyDescent="0.2">
      <c r="A35" s="9" t="s">
        <v>28</v>
      </c>
      <c r="B35" s="12">
        <v>400000</v>
      </c>
      <c r="C35" s="10" t="s">
        <v>33</v>
      </c>
      <c r="D35" s="12"/>
      <c r="E35" s="12"/>
      <c r="F35" s="12"/>
      <c r="G35" s="12">
        <v>400000</v>
      </c>
      <c r="H35" s="12"/>
      <c r="I35" s="12"/>
      <c r="J35" s="12"/>
      <c r="K35" s="12"/>
      <c r="L35" s="4">
        <f t="shared" si="0"/>
        <v>0</v>
      </c>
    </row>
    <row r="36" spans="1:12" ht="15" customHeight="1" x14ac:dyDescent="0.2">
      <c r="A36" s="1" t="s">
        <v>16</v>
      </c>
      <c r="B36" s="11">
        <v>4004</v>
      </c>
      <c r="C36" s="10" t="s">
        <v>19</v>
      </c>
      <c r="D36" s="11"/>
      <c r="E36" s="11">
        <v>4004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15" customHeight="1" x14ac:dyDescent="0.2">
      <c r="A37" s="1" t="s">
        <v>50</v>
      </c>
      <c r="B37" s="11">
        <v>134680</v>
      </c>
      <c r="C37" s="10" t="s">
        <v>19</v>
      </c>
      <c r="D37" s="11"/>
      <c r="E37" s="11">
        <v>134680</v>
      </c>
      <c r="F37" s="11"/>
      <c r="G37" s="11"/>
      <c r="H37" s="11"/>
      <c r="I37" s="11"/>
      <c r="J37" s="11"/>
      <c r="K37" s="11"/>
      <c r="L37" s="4">
        <f t="shared" si="0"/>
        <v>0</v>
      </c>
    </row>
    <row r="38" spans="1:12" ht="28.5" x14ac:dyDescent="0.2">
      <c r="A38" s="9" t="s">
        <v>29</v>
      </c>
      <c r="B38" s="12">
        <v>110000</v>
      </c>
      <c r="C38" s="10" t="s">
        <v>22</v>
      </c>
      <c r="D38" s="12">
        <v>35000</v>
      </c>
      <c r="E38" s="12">
        <v>75000</v>
      </c>
      <c r="F38" s="12"/>
      <c r="G38" s="12"/>
      <c r="H38" s="12"/>
      <c r="I38" s="12"/>
      <c r="J38" s="12"/>
      <c r="K38" s="12"/>
      <c r="L38" s="4">
        <f t="shared" si="0"/>
        <v>0</v>
      </c>
    </row>
    <row r="39" spans="1:12" ht="42.75" x14ac:dyDescent="0.2">
      <c r="A39" s="9" t="s">
        <v>42</v>
      </c>
      <c r="B39" s="12">
        <f>24440+65000</f>
        <v>89440</v>
      </c>
      <c r="C39" s="10" t="s">
        <v>61</v>
      </c>
      <c r="D39" s="12"/>
      <c r="E39" s="12">
        <f>24440</f>
        <v>24440</v>
      </c>
      <c r="F39" s="12"/>
      <c r="G39" s="12">
        <v>65000</v>
      </c>
      <c r="H39" s="12"/>
      <c r="I39" s="12"/>
      <c r="J39" s="12"/>
      <c r="K39" s="12"/>
      <c r="L39" s="4">
        <f t="shared" si="0"/>
        <v>0</v>
      </c>
    </row>
    <row r="40" spans="1:12" ht="28.5" x14ac:dyDescent="0.2">
      <c r="A40" s="9" t="s">
        <v>26</v>
      </c>
      <c r="B40" s="12">
        <v>89767</v>
      </c>
      <c r="C40" s="10" t="s">
        <v>27</v>
      </c>
      <c r="D40" s="12"/>
      <c r="E40" s="12"/>
      <c r="F40" s="12"/>
      <c r="G40" s="12"/>
      <c r="H40" s="12"/>
      <c r="I40" s="12"/>
      <c r="J40" s="12"/>
      <c r="K40" s="12">
        <v>89767</v>
      </c>
      <c r="L40" s="4">
        <f t="shared" si="0"/>
        <v>0</v>
      </c>
    </row>
    <row r="41" spans="1:12" ht="28.5" x14ac:dyDescent="0.2">
      <c r="A41" s="9" t="s">
        <v>17</v>
      </c>
      <c r="B41" s="12">
        <f>5200+134437+10230+59721</f>
        <v>209588</v>
      </c>
      <c r="C41" s="10" t="s">
        <v>23</v>
      </c>
      <c r="D41" s="12"/>
      <c r="E41" s="12">
        <f>5200</f>
        <v>5200</v>
      </c>
      <c r="F41" s="12">
        <f>134437+10230+59721</f>
        <v>204388</v>
      </c>
      <c r="G41" s="12"/>
      <c r="H41" s="12"/>
      <c r="I41" s="12"/>
      <c r="J41" s="12"/>
      <c r="K41" s="12"/>
      <c r="L41" s="4">
        <f t="shared" si="0"/>
        <v>0</v>
      </c>
    </row>
    <row r="42" spans="1:12" x14ac:dyDescent="0.2">
      <c r="A42" s="1" t="s">
        <v>18</v>
      </c>
      <c r="B42" s="27">
        <f>338910-124607</f>
        <v>214303</v>
      </c>
      <c r="C42" s="10" t="s">
        <v>19</v>
      </c>
      <c r="D42" s="27"/>
      <c r="E42" s="27">
        <f>338910-124607</f>
        <v>214303</v>
      </c>
      <c r="F42" s="27"/>
      <c r="G42" s="27"/>
      <c r="H42" s="27"/>
      <c r="I42" s="27"/>
      <c r="J42" s="27"/>
      <c r="K42" s="27"/>
      <c r="L42" s="4">
        <f t="shared" si="0"/>
        <v>0</v>
      </c>
    </row>
    <row r="43" spans="1:12" ht="15" x14ac:dyDescent="0.25">
      <c r="A43" s="2" t="s">
        <v>100</v>
      </c>
      <c r="B43" s="30">
        <f>SUM(B14:B42)</f>
        <v>59098780.799999997</v>
      </c>
      <c r="D43" s="30">
        <f t="shared" ref="D43:K43" si="1">SUM(D14:D42)</f>
        <v>21489537</v>
      </c>
      <c r="E43" s="30">
        <f t="shared" si="1"/>
        <v>10774272</v>
      </c>
      <c r="F43" s="30">
        <f t="shared" si="1"/>
        <v>6174122</v>
      </c>
      <c r="G43" s="30">
        <f t="shared" si="1"/>
        <v>465000</v>
      </c>
      <c r="H43" s="30">
        <f t="shared" si="1"/>
        <v>10562789</v>
      </c>
      <c r="I43" s="30">
        <f t="shared" si="1"/>
        <v>1200000</v>
      </c>
      <c r="J43" s="30">
        <f t="shared" si="1"/>
        <v>682302</v>
      </c>
      <c r="K43" s="30">
        <f t="shared" si="1"/>
        <v>7743360</v>
      </c>
      <c r="L43" s="4" t="e">
        <f>B43-#REF!-#REF!-#REF!-#REF!-#REF!-#REF!-#REF!-#REF!</f>
        <v>#REF!</v>
      </c>
    </row>
    <row r="44" spans="1:12" ht="15" x14ac:dyDescent="0.25">
      <c r="A44" s="26" t="s">
        <v>64</v>
      </c>
      <c r="B44" s="13">
        <f>B12-B43</f>
        <v>66791219.200000003</v>
      </c>
      <c r="L44" s="4">
        <f>B44-D43-E43-F43-G43-H43-I43-J43-K43</f>
        <v>7699837.200000003</v>
      </c>
    </row>
    <row r="45" spans="1:12" s="16" customFormat="1" x14ac:dyDescent="0.2">
      <c r="A45" s="24"/>
      <c r="B45" s="25"/>
      <c r="C45" s="18"/>
      <c r="D45" s="25"/>
      <c r="E45" s="25"/>
      <c r="F45" s="25"/>
      <c r="G45" s="25"/>
      <c r="H45" s="25"/>
      <c r="I45" s="25"/>
      <c r="J45" s="25"/>
      <c r="K45" s="25"/>
    </row>
    <row r="46" spans="1:12" s="16" customFormat="1" ht="15" x14ac:dyDescent="0.25">
      <c r="A46" s="21"/>
      <c r="B46" s="17"/>
      <c r="C46" s="20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2">
      <c r="B47" s="17"/>
      <c r="C47" s="20"/>
      <c r="D47" s="17"/>
      <c r="E47" s="17"/>
      <c r="F47" s="17"/>
      <c r="G47" s="17"/>
      <c r="H47" s="17"/>
      <c r="I47" s="17"/>
      <c r="J47" s="17"/>
      <c r="K47" s="17"/>
    </row>
    <row r="48" spans="1:12" s="16" customFormat="1" x14ac:dyDescent="0.2">
      <c r="B48" s="17"/>
      <c r="C48" s="18"/>
      <c r="D48" s="17"/>
      <c r="E48" s="17"/>
      <c r="F48" s="17"/>
      <c r="G48" s="17"/>
      <c r="H48" s="17"/>
      <c r="I48" s="17"/>
      <c r="J48" s="17"/>
      <c r="K48" s="17"/>
    </row>
    <row r="49" spans="2:11" s="16" customFormat="1" x14ac:dyDescent="0.2">
      <c r="B49" s="17"/>
      <c r="C49" s="18"/>
      <c r="D49" s="17"/>
      <c r="E49" s="17"/>
      <c r="F49" s="17"/>
      <c r="G49" s="17"/>
      <c r="H49" s="17"/>
      <c r="I49" s="17"/>
      <c r="J49" s="17"/>
      <c r="K49" s="17"/>
    </row>
    <row r="50" spans="2:11" s="16" customFormat="1" x14ac:dyDescent="0.2">
      <c r="B50" s="17"/>
      <c r="C50" s="18"/>
      <c r="D50" s="17"/>
      <c r="E50" s="17"/>
      <c r="F50" s="17"/>
      <c r="G50" s="17"/>
      <c r="H50" s="17"/>
      <c r="I50" s="17"/>
      <c r="J50" s="17"/>
      <c r="K50" s="17"/>
    </row>
    <row r="51" spans="2:11" s="16" customFormat="1" ht="15" x14ac:dyDescent="0.25">
      <c r="B51" s="19"/>
      <c r="C51" s="18"/>
      <c r="D51" s="19"/>
      <c r="E51" s="19"/>
      <c r="F51" s="19"/>
      <c r="G51" s="19"/>
      <c r="H51" s="19"/>
      <c r="I51" s="19"/>
      <c r="J51" s="19"/>
      <c r="K51" s="19"/>
    </row>
    <row r="52" spans="2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2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</sheetData>
  <sortState xmlns:xlrd2="http://schemas.microsoft.com/office/spreadsheetml/2017/richdata2" ref="A17:C42">
    <sortCondition ref="A17:A42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7"/>
  <sheetViews>
    <sheetView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52.85546875" style="49" customWidth="1"/>
    <col min="2" max="2" width="14.42578125" style="25" bestFit="1" customWidth="1"/>
    <col min="3" max="3" width="57" style="23" customWidth="1"/>
    <col min="4" max="8" width="14.42578125" style="25" bestFit="1" customWidth="1"/>
    <col min="9" max="16384" width="9.140625" style="42"/>
  </cols>
  <sheetData>
    <row r="1" spans="1:8" ht="18" x14ac:dyDescent="0.25">
      <c r="A1" s="41" t="s">
        <v>47</v>
      </c>
    </row>
    <row r="2" spans="1:8" x14ac:dyDescent="0.25">
      <c r="A2" s="21" t="s">
        <v>200</v>
      </c>
    </row>
    <row r="3" spans="1:8" x14ac:dyDescent="0.25">
      <c r="A3" s="43" t="s">
        <v>63</v>
      </c>
      <c r="B3" s="37" t="s">
        <v>1</v>
      </c>
      <c r="C3" s="44" t="s">
        <v>107</v>
      </c>
      <c r="D3" s="11"/>
      <c r="E3" s="11"/>
      <c r="F3" s="11"/>
      <c r="G3" s="11"/>
      <c r="H3" s="11"/>
    </row>
    <row r="4" spans="1:8" x14ac:dyDescent="0.25">
      <c r="A4" s="43" t="s">
        <v>170</v>
      </c>
      <c r="B4" s="11">
        <f>75000000-10000000</f>
        <v>65000000</v>
      </c>
      <c r="C4" s="23" t="s">
        <v>100</v>
      </c>
      <c r="D4" s="11"/>
      <c r="E4" s="11"/>
      <c r="F4" s="11"/>
      <c r="G4" s="11"/>
      <c r="H4" s="11"/>
    </row>
    <row r="5" spans="1:8" ht="29.25" x14ac:dyDescent="0.25">
      <c r="A5" s="45" t="s">
        <v>102</v>
      </c>
      <c r="B5" s="12">
        <v>45000000</v>
      </c>
      <c r="C5" s="23" t="s">
        <v>105</v>
      </c>
      <c r="D5" s="11"/>
      <c r="E5" s="11"/>
      <c r="F5" s="11"/>
      <c r="G5" s="11"/>
      <c r="H5" s="11"/>
    </row>
    <row r="6" spans="1:8" ht="43.5" x14ac:dyDescent="0.25">
      <c r="A6" s="45" t="s">
        <v>101</v>
      </c>
      <c r="B6" s="12">
        <v>40000000</v>
      </c>
      <c r="C6" s="23" t="s">
        <v>104</v>
      </c>
      <c r="D6" s="11"/>
      <c r="E6" s="11"/>
      <c r="F6" s="11"/>
      <c r="G6" s="11"/>
      <c r="H6" s="11"/>
    </row>
    <row r="7" spans="1:8" x14ac:dyDescent="0.25">
      <c r="A7" s="45" t="s">
        <v>195</v>
      </c>
      <c r="B7" s="12">
        <v>40000000</v>
      </c>
      <c r="C7" s="23" t="s">
        <v>196</v>
      </c>
      <c r="D7" s="11"/>
      <c r="E7" s="11"/>
      <c r="F7" s="11"/>
      <c r="G7" s="11"/>
      <c r="H7" s="11"/>
    </row>
    <row r="8" spans="1:8" ht="43.5" x14ac:dyDescent="0.25">
      <c r="A8" s="45" t="s">
        <v>103</v>
      </c>
      <c r="B8" s="22">
        <v>12662200</v>
      </c>
      <c r="C8" s="23" t="s">
        <v>106</v>
      </c>
      <c r="D8" s="11"/>
      <c r="E8" s="11"/>
      <c r="F8" s="11"/>
      <c r="G8" s="11"/>
      <c r="H8" s="11"/>
    </row>
    <row r="9" spans="1:8" x14ac:dyDescent="0.25">
      <c r="A9" s="43" t="s">
        <v>144</v>
      </c>
      <c r="B9" s="28">
        <v>10000000</v>
      </c>
      <c r="C9" s="23" t="s">
        <v>136</v>
      </c>
      <c r="D9" s="11"/>
      <c r="E9" s="11"/>
      <c r="F9" s="11"/>
      <c r="G9" s="11"/>
      <c r="H9" s="11"/>
    </row>
    <row r="10" spans="1:8" x14ac:dyDescent="0.25">
      <c r="A10" s="43" t="s">
        <v>121</v>
      </c>
      <c r="B10" s="34">
        <f>SUM(B4:B9)</f>
        <v>212662200</v>
      </c>
      <c r="D10" s="11"/>
      <c r="E10" s="11"/>
      <c r="F10" s="11"/>
      <c r="G10" s="11"/>
      <c r="H10" s="11"/>
    </row>
    <row r="11" spans="1:8" x14ac:dyDescent="0.25">
      <c r="A11" s="43"/>
      <c r="D11" s="46" t="s">
        <v>92</v>
      </c>
      <c r="E11" s="46" t="s">
        <v>83</v>
      </c>
    </row>
    <row r="12" spans="1:8" ht="18" x14ac:dyDescent="0.25">
      <c r="A12" s="41" t="s">
        <v>47</v>
      </c>
      <c r="B12" s="46" t="s">
        <v>1</v>
      </c>
      <c r="C12" s="44" t="s">
        <v>2</v>
      </c>
      <c r="D12" s="46" t="s">
        <v>93</v>
      </c>
      <c r="E12" s="46" t="s">
        <v>84</v>
      </c>
      <c r="F12" s="46" t="s">
        <v>88</v>
      </c>
      <c r="G12" s="46"/>
      <c r="H12" s="46" t="s">
        <v>86</v>
      </c>
    </row>
    <row r="13" spans="1:8" x14ac:dyDescent="0.25">
      <c r="A13" s="47" t="s">
        <v>0</v>
      </c>
      <c r="B13" s="37" t="s">
        <v>56</v>
      </c>
      <c r="C13" s="44" t="s">
        <v>3</v>
      </c>
      <c r="D13" s="37" t="s">
        <v>94</v>
      </c>
      <c r="E13" s="37" t="s">
        <v>85</v>
      </c>
      <c r="F13" s="37" t="s">
        <v>89</v>
      </c>
      <c r="G13" s="37" t="s">
        <v>90</v>
      </c>
      <c r="H13" s="37" t="s">
        <v>87</v>
      </c>
    </row>
    <row r="14" spans="1:8" ht="16.5" x14ac:dyDescent="0.25">
      <c r="A14" s="48" t="s">
        <v>100</v>
      </c>
    </row>
    <row r="15" spans="1:8" x14ac:dyDescent="0.25">
      <c r="A15" s="43" t="s">
        <v>141</v>
      </c>
      <c r="B15" s="34">
        <f>75000000-10000000</f>
        <v>65000000</v>
      </c>
      <c r="C15" s="8" t="s">
        <v>164</v>
      </c>
    </row>
    <row r="16" spans="1:8" x14ac:dyDescent="0.25">
      <c r="A16" s="49" t="s">
        <v>158</v>
      </c>
      <c r="B16" s="25">
        <f>300000+75000</f>
        <v>375000</v>
      </c>
      <c r="C16" s="8" t="s">
        <v>159</v>
      </c>
      <c r="D16" s="25">
        <v>300000</v>
      </c>
      <c r="F16" s="25">
        <v>75000</v>
      </c>
    </row>
    <row r="17" spans="1:8" ht="28.5" x14ac:dyDescent="0.25">
      <c r="A17" s="50" t="s">
        <v>122</v>
      </c>
      <c r="B17" s="22">
        <f>5720+100000+52780</f>
        <v>158500</v>
      </c>
      <c r="C17" s="40" t="s">
        <v>48</v>
      </c>
      <c r="D17" s="22">
        <v>100000</v>
      </c>
      <c r="E17" s="22">
        <f>5720+52780</f>
        <v>58500</v>
      </c>
    </row>
    <row r="18" spans="1:8" x14ac:dyDescent="0.25">
      <c r="A18" s="49" t="s">
        <v>129</v>
      </c>
      <c r="B18" s="25">
        <f>3000000+3000000</f>
        <v>6000000</v>
      </c>
      <c r="C18" s="23" t="s">
        <v>40</v>
      </c>
      <c r="D18" s="25">
        <f>3000000+3000000</f>
        <v>6000000</v>
      </c>
    </row>
    <row r="19" spans="1:8" x14ac:dyDescent="0.25">
      <c r="A19" s="50" t="s">
        <v>160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9.25" x14ac:dyDescent="0.25">
      <c r="A20" s="50" t="s">
        <v>77</v>
      </c>
      <c r="B20" s="22">
        <f>150020+370000</f>
        <v>520020</v>
      </c>
      <c r="C20" s="23" t="s">
        <v>145</v>
      </c>
      <c r="D20" s="22">
        <v>370000</v>
      </c>
      <c r="E20" s="22"/>
      <c r="F20" s="22"/>
      <c r="G20" s="22">
        <v>150020</v>
      </c>
      <c r="H20" s="22"/>
    </row>
    <row r="21" spans="1:8" ht="29.25" x14ac:dyDescent="0.25">
      <c r="A21" s="50" t="s">
        <v>131</v>
      </c>
      <c r="B21" s="22">
        <f>300000+371314+500000</f>
        <v>1171314</v>
      </c>
      <c r="C21" s="23" t="s">
        <v>48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42.75" x14ac:dyDescent="0.25">
      <c r="A22" s="50" t="s">
        <v>43</v>
      </c>
      <c r="B22" s="22">
        <f>794989</f>
        <v>794989</v>
      </c>
      <c r="C22" s="40" t="s">
        <v>132</v>
      </c>
      <c r="D22" s="22"/>
      <c r="E22" s="22"/>
      <c r="F22" s="22"/>
      <c r="G22" s="22">
        <f>794989</f>
        <v>794989</v>
      </c>
    </row>
    <row r="23" spans="1:8" ht="57.75" x14ac:dyDescent="0.25">
      <c r="A23" s="50" t="s">
        <v>69</v>
      </c>
      <c r="B23" s="22">
        <f>298100+330000+60000+1000000+140000+2371239</f>
        <v>4199339</v>
      </c>
      <c r="C23" s="23" t="s">
        <v>163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9.25" x14ac:dyDescent="0.25">
      <c r="A24" s="50" t="s">
        <v>73</v>
      </c>
      <c r="B24" s="22">
        <f>301156+80000+33518+350000</f>
        <v>764674</v>
      </c>
      <c r="C24" s="23" t="s">
        <v>74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25">
      <c r="A25" s="49" t="s">
        <v>62</v>
      </c>
      <c r="B25" s="25">
        <v>830546</v>
      </c>
      <c r="C25" s="51" t="s">
        <v>19</v>
      </c>
      <c r="E25" s="25">
        <v>830546</v>
      </c>
    </row>
    <row r="26" spans="1:8" ht="28.5" x14ac:dyDescent="0.25">
      <c r="A26" s="50" t="s">
        <v>55</v>
      </c>
      <c r="B26" s="22">
        <f>2500000+1750000+897000</f>
        <v>5147000</v>
      </c>
      <c r="C26" s="40" t="s">
        <v>48</v>
      </c>
      <c r="D26" s="22">
        <f>2500000+1750000</f>
        <v>4250000</v>
      </c>
      <c r="E26" s="22">
        <v>897000</v>
      </c>
    </row>
    <row r="27" spans="1:8" ht="29.25" x14ac:dyDescent="0.25">
      <c r="A27" s="49" t="s">
        <v>66</v>
      </c>
      <c r="B27" s="22">
        <f>100000+41288+80000+250000</f>
        <v>471288</v>
      </c>
      <c r="C27" s="23" t="s">
        <v>146</v>
      </c>
      <c r="D27" s="25">
        <f>100000+250000</f>
        <v>350000</v>
      </c>
      <c r="E27" s="25">
        <v>41288</v>
      </c>
      <c r="F27" s="25">
        <v>80000</v>
      </c>
    </row>
    <row r="28" spans="1:8" ht="28.5" x14ac:dyDescent="0.25">
      <c r="A28" s="49" t="s">
        <v>168</v>
      </c>
      <c r="B28" s="22">
        <f>6776+75000</f>
        <v>81776</v>
      </c>
      <c r="C28" s="51" t="s">
        <v>169</v>
      </c>
      <c r="E28" s="25">
        <v>6776</v>
      </c>
      <c r="F28" s="25">
        <v>75000</v>
      </c>
    </row>
    <row r="29" spans="1:8" ht="28.5" x14ac:dyDescent="0.25">
      <c r="A29" s="50" t="s">
        <v>78</v>
      </c>
      <c r="B29" s="22">
        <f>250000+85400+200000+89466</f>
        <v>624866</v>
      </c>
      <c r="C29" s="40" t="s">
        <v>162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25">
      <c r="A30" s="50" t="s">
        <v>82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25">
      <c r="A31" s="50" t="s">
        <v>65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25">
      <c r="A32" s="50" t="s">
        <v>67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9.25" x14ac:dyDescent="0.25">
      <c r="A33" s="50" t="s">
        <v>41</v>
      </c>
      <c r="B33" s="22">
        <f>531000+220000+686203+1159305+3581491+2000000</f>
        <v>8177999</v>
      </c>
      <c r="C33" s="23" t="s">
        <v>60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25">
      <c r="A34" s="50" t="s">
        <v>37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25">
      <c r="A35" s="50" t="s">
        <v>166</v>
      </c>
      <c r="B35" s="22">
        <f>868817+75000</f>
        <v>943817</v>
      </c>
      <c r="C35" s="23" t="s">
        <v>40</v>
      </c>
      <c r="D35" s="22">
        <v>868817</v>
      </c>
      <c r="E35" s="22"/>
      <c r="F35" s="22">
        <v>75000</v>
      </c>
      <c r="G35" s="22"/>
      <c r="H35" s="22"/>
    </row>
    <row r="36" spans="1:8" ht="42.75" x14ac:dyDescent="0.25">
      <c r="A36" s="50" t="s">
        <v>38</v>
      </c>
      <c r="B36" s="22">
        <f>(531000+400000)+220000+1171294+1567422+71308+89020+7418+75000+34000+249243</f>
        <v>4415705</v>
      </c>
      <c r="C36" s="40" t="s">
        <v>161</v>
      </c>
      <c r="D36" s="22">
        <f>531000+400000</f>
        <v>931000</v>
      </c>
      <c r="E36" s="22">
        <f>1171294+1567422+71308+89020+7418</f>
        <v>2906462</v>
      </c>
      <c r="F36" s="22">
        <v>220000</v>
      </c>
      <c r="G36" s="22">
        <v>75000</v>
      </c>
      <c r="H36" s="22">
        <f>34000+249243</f>
        <v>283243</v>
      </c>
    </row>
    <row r="37" spans="1:8" ht="29.25" x14ac:dyDescent="0.25">
      <c r="A37" s="50" t="s">
        <v>39</v>
      </c>
      <c r="B37" s="22">
        <f>31531+391756+34000</f>
        <v>457287</v>
      </c>
      <c r="C37" s="23" t="s">
        <v>148</v>
      </c>
      <c r="D37" s="22"/>
      <c r="E37" s="22">
        <v>391756</v>
      </c>
      <c r="F37" s="22"/>
      <c r="G37" s="22">
        <v>31531</v>
      </c>
      <c r="H37" s="22"/>
    </row>
    <row r="38" spans="1:8" x14ac:dyDescent="0.25">
      <c r="A38" s="50" t="s">
        <v>68</v>
      </c>
      <c r="B38" s="22">
        <f>1500000+1000000</f>
        <v>2500000</v>
      </c>
      <c r="C38" s="23" t="s">
        <v>40</v>
      </c>
      <c r="D38" s="22">
        <f>1500000+1000000</f>
        <v>2500000</v>
      </c>
      <c r="E38" s="22"/>
      <c r="F38" s="22"/>
      <c r="G38" s="22"/>
      <c r="H38" s="22"/>
    </row>
    <row r="39" spans="1:8" x14ac:dyDescent="0.25">
      <c r="A39" s="50" t="s">
        <v>75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9.25" x14ac:dyDescent="0.25">
      <c r="A40" s="50" t="s">
        <v>134</v>
      </c>
      <c r="B40" s="22">
        <f>400000+46743</f>
        <v>446743</v>
      </c>
      <c r="C40" s="23" t="s">
        <v>48</v>
      </c>
      <c r="D40" s="22">
        <v>400000</v>
      </c>
      <c r="E40" s="22">
        <v>46743</v>
      </c>
      <c r="F40" s="22"/>
      <c r="G40" s="22"/>
      <c r="H40" s="22"/>
    </row>
    <row r="41" spans="1:8" ht="29.25" x14ac:dyDescent="0.25">
      <c r="A41" s="50" t="s">
        <v>57</v>
      </c>
      <c r="B41" s="22">
        <v>31000</v>
      </c>
      <c r="C41" s="23" t="s">
        <v>48</v>
      </c>
      <c r="D41" s="22">
        <v>5000</v>
      </c>
      <c r="E41" s="22">
        <v>26000</v>
      </c>
      <c r="F41" s="22"/>
      <c r="G41" s="22"/>
      <c r="H41" s="22"/>
    </row>
    <row r="42" spans="1:8" x14ac:dyDescent="0.25">
      <c r="A42" s="49" t="s">
        <v>44</v>
      </c>
      <c r="B42" s="25">
        <v>130000</v>
      </c>
      <c r="C42" s="51" t="s">
        <v>19</v>
      </c>
      <c r="E42" s="25">
        <v>130000</v>
      </c>
    </row>
    <row r="43" spans="1:8" x14ac:dyDescent="0.25">
      <c r="A43" s="49" t="s">
        <v>45</v>
      </c>
      <c r="B43" s="25">
        <f>3000000+3000000+702584+2860699+5000000</f>
        <v>14563283</v>
      </c>
      <c r="C43" s="23" t="s">
        <v>123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25">
      <c r="A44" s="52" t="s">
        <v>46</v>
      </c>
      <c r="B44" s="25">
        <v>1495000</v>
      </c>
      <c r="C44" s="51" t="s">
        <v>19</v>
      </c>
      <c r="E44" s="25">
        <v>1495000</v>
      </c>
    </row>
    <row r="45" spans="1:8" x14ac:dyDescent="0.25">
      <c r="A45" s="52" t="s">
        <v>143</v>
      </c>
      <c r="B45" s="25">
        <f>984000-34000</f>
        <v>950000</v>
      </c>
      <c r="C45" s="52" t="s">
        <v>194</v>
      </c>
      <c r="H45" s="25">
        <f>B45</f>
        <v>950000</v>
      </c>
    </row>
    <row r="46" spans="1:8" ht="85.5" x14ac:dyDescent="0.25">
      <c r="A46" s="50" t="s">
        <v>70</v>
      </c>
      <c r="B46" s="22">
        <f>1482000+6087237+950000+650000</f>
        <v>9169237</v>
      </c>
      <c r="C46" s="51" t="s">
        <v>147</v>
      </c>
      <c r="D46" s="22"/>
      <c r="E46" s="22">
        <v>6087237</v>
      </c>
      <c r="F46" s="22"/>
      <c r="G46" s="22"/>
      <c r="H46" s="22">
        <f>1482000+950000+650000</f>
        <v>3082000</v>
      </c>
    </row>
    <row r="47" spans="1:8" ht="28.5" x14ac:dyDescent="0.25">
      <c r="A47" s="50" t="s">
        <v>71</v>
      </c>
      <c r="B47" s="28">
        <f>89570+50000+20000</f>
        <v>159570</v>
      </c>
      <c r="C47" s="51" t="s">
        <v>72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25">
      <c r="A48" s="43" t="s">
        <v>96</v>
      </c>
      <c r="B48" s="53">
        <f>SUM(B16:B47)</f>
        <v>64978704</v>
      </c>
      <c r="D48" s="36">
        <f>SUM(D16:D47)</f>
        <v>30989335</v>
      </c>
      <c r="E48" s="36">
        <f>SUM(E16:E47)</f>
        <v>22456263</v>
      </c>
      <c r="F48" s="36">
        <f>SUM(F16:F47)</f>
        <v>1125000</v>
      </c>
      <c r="G48" s="36">
        <f>SUM(G16:G47)</f>
        <v>1859524</v>
      </c>
      <c r="H48" s="36">
        <f>SUM(H16:H47)</f>
        <v>8514582</v>
      </c>
    </row>
    <row r="49" spans="1:8" x14ac:dyDescent="0.25">
      <c r="A49" s="43" t="s">
        <v>95</v>
      </c>
      <c r="B49" s="29">
        <f>B15-B48</f>
        <v>21296</v>
      </c>
      <c r="C49" s="40"/>
      <c r="D49" s="39"/>
      <c r="E49" s="39"/>
      <c r="F49" s="39"/>
      <c r="G49" s="39"/>
      <c r="H49" s="39"/>
    </row>
    <row r="50" spans="1:8" x14ac:dyDescent="0.25">
      <c r="A50" s="54"/>
      <c r="C50" s="40"/>
    </row>
    <row r="51" spans="1:8" ht="16.5" x14ac:dyDescent="0.25">
      <c r="A51" s="48" t="s">
        <v>137</v>
      </c>
      <c r="B51" s="29"/>
      <c r="C51" s="40"/>
      <c r="H51" s="42"/>
    </row>
    <row r="52" spans="1:8" x14ac:dyDescent="0.25">
      <c r="A52" s="45" t="s">
        <v>140</v>
      </c>
      <c r="B52" s="29">
        <v>40000000</v>
      </c>
      <c r="C52" s="40"/>
    </row>
    <row r="53" spans="1:8" x14ac:dyDescent="0.25">
      <c r="A53" s="49" t="s">
        <v>130</v>
      </c>
      <c r="B53" s="25">
        <v>1834900</v>
      </c>
      <c r="C53" s="23" t="s">
        <v>40</v>
      </c>
      <c r="D53" s="25">
        <v>1834900</v>
      </c>
    </row>
    <row r="54" spans="1:8" x14ac:dyDescent="0.25">
      <c r="A54" s="50" t="s">
        <v>160</v>
      </c>
      <c r="B54" s="25">
        <v>235000</v>
      </c>
      <c r="C54" s="23" t="s">
        <v>40</v>
      </c>
      <c r="D54" s="25">
        <v>235000</v>
      </c>
    </row>
    <row r="55" spans="1:8" x14ac:dyDescent="0.25">
      <c r="A55" s="50" t="s">
        <v>165</v>
      </c>
      <c r="B55" s="25">
        <v>200000</v>
      </c>
      <c r="C55" s="23" t="s">
        <v>40</v>
      </c>
      <c r="D55" s="25">
        <v>200000</v>
      </c>
    </row>
    <row r="56" spans="1:8" x14ac:dyDescent="0.25">
      <c r="A56" s="49" t="s">
        <v>58</v>
      </c>
      <c r="B56" s="25">
        <f>3200000+3052337</f>
        <v>6252337</v>
      </c>
      <c r="C56" s="23" t="s">
        <v>40</v>
      </c>
      <c r="D56" s="25">
        <f>3200000+3052337</f>
        <v>6252337</v>
      </c>
    </row>
    <row r="57" spans="1:8" x14ac:dyDescent="0.25">
      <c r="A57" s="50" t="s">
        <v>37</v>
      </c>
      <c r="B57" s="25">
        <v>82006</v>
      </c>
      <c r="C57" s="23" t="s">
        <v>40</v>
      </c>
      <c r="D57" s="25">
        <v>82006</v>
      </c>
    </row>
    <row r="58" spans="1:8" x14ac:dyDescent="0.25">
      <c r="A58" s="49" t="s">
        <v>59</v>
      </c>
      <c r="B58" s="22">
        <v>6211811</v>
      </c>
      <c r="C58" s="23" t="s">
        <v>40</v>
      </c>
      <c r="D58" s="22">
        <v>6211811</v>
      </c>
      <c r="E58" s="22"/>
      <c r="F58" s="22"/>
      <c r="G58" s="22"/>
      <c r="H58" s="22"/>
    </row>
    <row r="59" spans="1:8" x14ac:dyDescent="0.25">
      <c r="A59" s="50" t="s">
        <v>76</v>
      </c>
      <c r="B59" s="28">
        <v>300000</v>
      </c>
      <c r="C59" s="23" t="s">
        <v>40</v>
      </c>
      <c r="D59" s="28">
        <v>300000</v>
      </c>
    </row>
    <row r="60" spans="1:8" x14ac:dyDescent="0.25">
      <c r="A60" s="45" t="s">
        <v>138</v>
      </c>
      <c r="B60" s="57">
        <f>SUM(B53:B59)</f>
        <v>15116054</v>
      </c>
      <c r="D60" s="29">
        <f>SUM(D53:D59)</f>
        <v>15116054</v>
      </c>
    </row>
    <row r="61" spans="1:8" x14ac:dyDescent="0.25">
      <c r="A61" s="45" t="s">
        <v>139</v>
      </c>
      <c r="B61" s="29">
        <f>B52-B60</f>
        <v>24883946</v>
      </c>
      <c r="D61" s="29"/>
    </row>
    <row r="62" spans="1:8" x14ac:dyDescent="0.25">
      <c r="A62" s="43"/>
      <c r="B62" s="29"/>
      <c r="C62" s="40"/>
    </row>
    <row r="63" spans="1:8" ht="16.5" x14ac:dyDescent="0.25">
      <c r="A63" s="48" t="s">
        <v>97</v>
      </c>
      <c r="B63" s="29"/>
      <c r="C63" s="40"/>
      <c r="D63" s="22"/>
      <c r="E63" s="22"/>
      <c r="F63" s="22"/>
      <c r="G63" s="22"/>
      <c r="H63" s="22"/>
    </row>
    <row r="64" spans="1:8" ht="29.25" x14ac:dyDescent="0.25">
      <c r="A64" s="45" t="s">
        <v>98</v>
      </c>
      <c r="B64" s="29">
        <v>45000000</v>
      </c>
      <c r="C64" s="23" t="s">
        <v>105</v>
      </c>
      <c r="D64" s="22"/>
      <c r="E64" s="22"/>
      <c r="F64" s="22"/>
      <c r="G64" s="22"/>
      <c r="H64" s="22"/>
    </row>
    <row r="65" spans="1:8" x14ac:dyDescent="0.25">
      <c r="A65" s="49" t="s">
        <v>172</v>
      </c>
      <c r="B65" s="27">
        <v>37749156</v>
      </c>
      <c r="C65" s="40" t="s">
        <v>173</v>
      </c>
    </row>
    <row r="66" spans="1:8" x14ac:dyDescent="0.25">
      <c r="A66" s="43" t="s">
        <v>99</v>
      </c>
      <c r="B66" s="29">
        <f>B64-B65</f>
        <v>7250844</v>
      </c>
      <c r="C66" s="40"/>
      <c r="D66" s="22"/>
      <c r="E66" s="22"/>
      <c r="F66" s="22"/>
      <c r="G66" s="22"/>
      <c r="H66" s="22"/>
    </row>
    <row r="67" spans="1:8" x14ac:dyDescent="0.25">
      <c r="A67" s="54"/>
      <c r="B67" s="22"/>
      <c r="C67" s="40"/>
      <c r="D67" s="22"/>
      <c r="E67" s="22"/>
      <c r="F67" s="22"/>
      <c r="G67" s="22"/>
      <c r="H67" s="22"/>
    </row>
    <row r="68" spans="1:8" ht="16.5" x14ac:dyDescent="0.25">
      <c r="A68" s="48" t="s">
        <v>108</v>
      </c>
      <c r="B68" s="29"/>
    </row>
    <row r="69" spans="1:8" ht="43.5" x14ac:dyDescent="0.25">
      <c r="A69" s="45" t="s">
        <v>109</v>
      </c>
      <c r="B69" s="29">
        <v>12662200</v>
      </c>
      <c r="C69" s="23" t="s">
        <v>106</v>
      </c>
    </row>
    <row r="70" spans="1:8" ht="42.75" x14ac:dyDescent="0.25">
      <c r="A70" s="50" t="s">
        <v>133</v>
      </c>
      <c r="B70" s="22">
        <f>(1646755+1171865)+4379000+(5204240)</f>
        <v>12401860</v>
      </c>
      <c r="C70" s="51" t="s">
        <v>167</v>
      </c>
      <c r="D70" s="22"/>
      <c r="E70" s="22"/>
      <c r="F70" s="22"/>
      <c r="G70" s="22"/>
      <c r="H70" s="22">
        <f>1646755+1171865+4379000+5204240</f>
        <v>12401860</v>
      </c>
    </row>
    <row r="71" spans="1:8" x14ac:dyDescent="0.25">
      <c r="A71" s="50"/>
      <c r="B71" s="28"/>
      <c r="C71" s="51"/>
      <c r="D71" s="22"/>
      <c r="E71" s="22"/>
      <c r="F71" s="22"/>
      <c r="G71" s="22"/>
      <c r="H71" s="22"/>
    </row>
    <row r="72" spans="1:8" x14ac:dyDescent="0.25">
      <c r="A72" s="45" t="s">
        <v>149</v>
      </c>
      <c r="B72" s="57">
        <f>SUM(B70:B71)</f>
        <v>12401860</v>
      </c>
      <c r="C72" s="51"/>
      <c r="D72" s="22"/>
      <c r="E72" s="22"/>
      <c r="F72" s="22"/>
      <c r="G72" s="22"/>
      <c r="H72" s="22"/>
    </row>
    <row r="73" spans="1:8" x14ac:dyDescent="0.25">
      <c r="A73" s="43" t="s">
        <v>99</v>
      </c>
      <c r="B73" s="29">
        <f>B69-B72</f>
        <v>260340</v>
      </c>
      <c r="C73" s="40"/>
      <c r="D73" s="22"/>
      <c r="E73" s="22"/>
      <c r="F73" s="22"/>
      <c r="G73" s="22"/>
      <c r="H73" s="22"/>
    </row>
    <row r="74" spans="1:8" x14ac:dyDescent="0.25">
      <c r="A74" s="54"/>
      <c r="B74" s="22"/>
      <c r="C74" s="40"/>
      <c r="D74" s="22"/>
      <c r="E74" s="22"/>
      <c r="F74" s="22"/>
      <c r="G74" s="22"/>
      <c r="H74" s="22"/>
    </row>
    <row r="75" spans="1:8" x14ac:dyDescent="0.25">
      <c r="B75" s="22"/>
      <c r="C75" s="40"/>
      <c r="D75" s="22"/>
      <c r="E75" s="22"/>
      <c r="F75" s="22"/>
      <c r="G75" s="22"/>
      <c r="H75" s="22"/>
    </row>
    <row r="76" spans="1:8" x14ac:dyDescent="0.25">
      <c r="B76" s="22"/>
      <c r="C76" s="40"/>
      <c r="D76" s="22"/>
      <c r="E76" s="22"/>
      <c r="F76" s="22"/>
      <c r="G76" s="22"/>
      <c r="H76" s="22"/>
    </row>
    <row r="77" spans="1:8" x14ac:dyDescent="0.25">
      <c r="A77" s="54"/>
      <c r="B77" s="22"/>
      <c r="C77" s="40"/>
      <c r="D77" s="22"/>
      <c r="E77" s="22"/>
      <c r="F77" s="22"/>
      <c r="G77" s="22"/>
      <c r="H77" s="22"/>
    </row>
    <row r="78" spans="1:8" x14ac:dyDescent="0.25">
      <c r="C78" s="40"/>
    </row>
    <row r="79" spans="1:8" x14ac:dyDescent="0.25">
      <c r="B79" s="22">
        <f>(1646755+1171865)</f>
        <v>2818620</v>
      </c>
      <c r="C79" s="40"/>
    </row>
    <row r="80" spans="1:8" x14ac:dyDescent="0.25">
      <c r="A80" s="54"/>
      <c r="B80" s="22"/>
      <c r="C80" s="40"/>
      <c r="D80" s="22"/>
      <c r="E80" s="22"/>
      <c r="F80" s="22"/>
      <c r="G80" s="22"/>
      <c r="H80" s="22"/>
    </row>
    <row r="81" spans="1:8" x14ac:dyDescent="0.25">
      <c r="A81" s="54"/>
      <c r="B81" s="22"/>
      <c r="C81" s="40"/>
      <c r="D81" s="22"/>
      <c r="E81" s="22"/>
      <c r="F81" s="22"/>
      <c r="G81" s="22"/>
      <c r="H81" s="22"/>
    </row>
    <row r="82" spans="1:8" x14ac:dyDescent="0.25">
      <c r="A82" s="54"/>
      <c r="B82" s="22"/>
      <c r="C82" s="40"/>
      <c r="D82" s="22"/>
      <c r="E82" s="22"/>
      <c r="F82" s="22"/>
      <c r="G82" s="22"/>
      <c r="H82" s="22"/>
    </row>
    <row r="83" spans="1:8" x14ac:dyDescent="0.25">
      <c r="C83" s="40"/>
    </row>
    <row r="85" spans="1:8" x14ac:dyDescent="0.25">
      <c r="A85" s="43"/>
      <c r="B85" s="34"/>
      <c r="D85" s="34"/>
      <c r="E85" s="34"/>
      <c r="F85" s="34"/>
      <c r="G85" s="34"/>
      <c r="H85" s="34"/>
    </row>
    <row r="87" spans="1:8" x14ac:dyDescent="0.25">
      <c r="C87" s="55"/>
    </row>
    <row r="88" spans="1:8" x14ac:dyDescent="0.25">
      <c r="C88" s="55"/>
    </row>
    <row r="89" spans="1:8" x14ac:dyDescent="0.25">
      <c r="C89" s="55"/>
    </row>
    <row r="90" spans="1:8" x14ac:dyDescent="0.25">
      <c r="C90" s="55"/>
    </row>
    <row r="91" spans="1:8" x14ac:dyDescent="0.25">
      <c r="B91" s="34"/>
      <c r="C91" s="56"/>
      <c r="D91" s="34"/>
      <c r="E91" s="34"/>
      <c r="F91" s="34"/>
      <c r="G91" s="34"/>
      <c r="H91" s="34"/>
    </row>
    <row r="92" spans="1:8" x14ac:dyDescent="0.25">
      <c r="A92" s="43"/>
      <c r="C92" s="56"/>
    </row>
    <row r="93" spans="1:8" x14ac:dyDescent="0.25">
      <c r="C93" s="56"/>
    </row>
    <row r="97" spans="2:8" x14ac:dyDescent="0.25">
      <c r="B97" s="34"/>
      <c r="D97" s="34"/>
      <c r="E97" s="34"/>
      <c r="F97" s="34"/>
      <c r="G97" s="34"/>
      <c r="H97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2"/>
  <sheetViews>
    <sheetView workbookViewId="0">
      <selection activeCell="A19" sqref="A19:XFD19"/>
    </sheetView>
  </sheetViews>
  <sheetFormatPr defaultColWidth="9.140625" defaultRowHeight="14.25" x14ac:dyDescent="0.2"/>
  <cols>
    <col min="1" max="16384" width="9.140625" style="1"/>
  </cols>
  <sheetData>
    <row r="1" spans="1:1" ht="15" x14ac:dyDescent="0.2">
      <c r="A1" s="32" t="s">
        <v>80</v>
      </c>
    </row>
    <row r="2" spans="1:1" ht="15" x14ac:dyDescent="0.25">
      <c r="A2" s="21" t="s">
        <v>171</v>
      </c>
    </row>
    <row r="3" spans="1:1" ht="15" x14ac:dyDescent="0.25">
      <c r="A3" s="21"/>
    </row>
    <row r="4" spans="1:1" ht="15" x14ac:dyDescent="0.2">
      <c r="A4" s="31" t="s">
        <v>192</v>
      </c>
    </row>
    <row r="5" spans="1:1" x14ac:dyDescent="0.2">
      <c r="A5" s="31" t="s">
        <v>174</v>
      </c>
    </row>
    <row r="6" spans="1:1" x14ac:dyDescent="0.2">
      <c r="A6" s="31" t="s">
        <v>186</v>
      </c>
    </row>
    <row r="7" spans="1:1" x14ac:dyDescent="0.2">
      <c r="A7" s="31" t="s">
        <v>175</v>
      </c>
    </row>
    <row r="8" spans="1:1" x14ac:dyDescent="0.2">
      <c r="A8" s="31" t="s">
        <v>176</v>
      </c>
    </row>
    <row r="9" spans="1:1" x14ac:dyDescent="0.2">
      <c r="A9" s="31" t="s">
        <v>187</v>
      </c>
    </row>
    <row r="10" spans="1:1" x14ac:dyDescent="0.2">
      <c r="A10" s="31" t="s">
        <v>188</v>
      </c>
    </row>
    <row r="11" spans="1:1" x14ac:dyDescent="0.2">
      <c r="A11" s="31" t="s">
        <v>177</v>
      </c>
    </row>
    <row r="12" spans="1:1" x14ac:dyDescent="0.2">
      <c r="A12" s="31" t="s">
        <v>189</v>
      </c>
    </row>
    <row r="13" spans="1:1" x14ac:dyDescent="0.2">
      <c r="A13" s="31" t="s">
        <v>190</v>
      </c>
    </row>
    <row r="14" spans="1:1" x14ac:dyDescent="0.2">
      <c r="A14" s="31" t="s">
        <v>178</v>
      </c>
    </row>
    <row r="15" spans="1:1" x14ac:dyDescent="0.2">
      <c r="A15" s="31" t="s">
        <v>179</v>
      </c>
    </row>
    <row r="16" spans="1:1" x14ac:dyDescent="0.2">
      <c r="A16" s="31" t="s">
        <v>180</v>
      </c>
    </row>
    <row r="17" spans="1:1" x14ac:dyDescent="0.2">
      <c r="A17" s="31" t="s">
        <v>181</v>
      </c>
    </row>
    <row r="18" spans="1:1" x14ac:dyDescent="0.2">
      <c r="A18" s="31" t="s">
        <v>191</v>
      </c>
    </row>
    <row r="19" spans="1:1" x14ac:dyDescent="0.2">
      <c r="A19" s="31" t="s">
        <v>182</v>
      </c>
    </row>
    <row r="20" spans="1:1" x14ac:dyDescent="0.2">
      <c r="A20" s="31" t="s">
        <v>183</v>
      </c>
    </row>
    <row r="21" spans="1:1" x14ac:dyDescent="0.2">
      <c r="A21" s="31" t="s">
        <v>184</v>
      </c>
    </row>
    <row r="22" spans="1:1" x14ac:dyDescent="0.2">
      <c r="A22" s="31" t="s">
        <v>185</v>
      </c>
    </row>
    <row r="23" spans="1:1" x14ac:dyDescent="0.2">
      <c r="A23" s="31"/>
    </row>
    <row r="24" spans="1:1" x14ac:dyDescent="0.2">
      <c r="A24" s="31"/>
    </row>
    <row r="25" spans="1:1" ht="15" x14ac:dyDescent="0.2">
      <c r="A25" s="32" t="s">
        <v>193</v>
      </c>
    </row>
    <row r="26" spans="1:1" x14ac:dyDescent="0.2">
      <c r="A26" s="31" t="s">
        <v>124</v>
      </c>
    </row>
    <row r="27" spans="1:1" x14ac:dyDescent="0.2">
      <c r="A27" s="31" t="s">
        <v>150</v>
      </c>
    </row>
    <row r="28" spans="1:1" x14ac:dyDescent="0.2">
      <c r="A28" s="31" t="s">
        <v>126</v>
      </c>
    </row>
    <row r="29" spans="1:1" x14ac:dyDescent="0.2">
      <c r="A29" s="31" t="s">
        <v>125</v>
      </c>
    </row>
    <row r="30" spans="1:1" x14ac:dyDescent="0.2">
      <c r="A30" s="31" t="s">
        <v>128</v>
      </c>
    </row>
    <row r="31" spans="1:1" x14ac:dyDescent="0.2">
      <c r="A31" s="31" t="s">
        <v>127</v>
      </c>
    </row>
    <row r="32" spans="1:1" x14ac:dyDescent="0.2">
      <c r="A32" s="31" t="s">
        <v>81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Hays, Jennifer (LRC)</cp:lastModifiedBy>
  <cp:lastPrinted>2023-08-10T17:12:00Z</cp:lastPrinted>
  <dcterms:created xsi:type="dcterms:W3CDTF">2022-02-14T17:49:56Z</dcterms:created>
  <dcterms:modified xsi:type="dcterms:W3CDTF">2023-10-10T16:58:00Z</dcterms:modified>
</cp:coreProperties>
</file>